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Расчеты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E24" i="6" l="1"/>
  <c r="J24" i="6" l="1"/>
  <c r="J21" i="6"/>
  <c r="J16" i="6"/>
  <c r="I8" i="6" l="1"/>
  <c r="G8" i="6" s="1"/>
  <c r="I9" i="6"/>
  <c r="G9" i="6" s="1"/>
  <c r="I10" i="6"/>
  <c r="G10" i="6" s="1"/>
  <c r="I11" i="6"/>
  <c r="G11" i="6" s="1"/>
  <c r="I7" i="6"/>
  <c r="G7" i="6" s="1"/>
  <c r="I24" i="6" l="1"/>
  <c r="K24" i="6" s="1"/>
  <c r="H8" i="6"/>
  <c r="F12" i="6"/>
  <c r="F16" i="6" s="1"/>
  <c r="H10" i="6"/>
  <c r="H11" i="6"/>
  <c r="H9" i="6"/>
  <c r="H7" i="6"/>
  <c r="K9" i="6"/>
  <c r="L9" i="6" s="1"/>
  <c r="K7" i="6"/>
  <c r="E21" i="6" l="1"/>
  <c r="I21" i="6" s="1"/>
  <c r="K21" i="6" s="1"/>
  <c r="L21" i="6" s="1"/>
  <c r="F21" i="6"/>
  <c r="F24" i="6"/>
  <c r="L24" i="6" s="1"/>
  <c r="M24" i="6" s="1"/>
  <c r="O24" i="6" s="1"/>
  <c r="K11" i="6"/>
  <c r="L11" i="6" s="1"/>
  <c r="N9" i="6"/>
  <c r="M9" i="6"/>
  <c r="O9" i="6" s="1"/>
  <c r="H12" i="6"/>
  <c r="K10" i="6"/>
  <c r="L10" i="6" s="1"/>
  <c r="L7" i="6"/>
  <c r="M7" i="6" s="1"/>
  <c r="G12" i="6"/>
  <c r="K8" i="6"/>
  <c r="L8" i="6" s="1"/>
  <c r="G16" i="6" l="1"/>
  <c r="G24" i="6"/>
  <c r="N24" i="6" s="1"/>
  <c r="G21" i="6"/>
  <c r="N21" i="6" s="1"/>
  <c r="H16" i="6"/>
  <c r="H21" i="6"/>
  <c r="H24" i="6"/>
  <c r="N11" i="6"/>
  <c r="M11" i="6"/>
  <c r="O11" i="6" s="1"/>
  <c r="M21" i="6"/>
  <c r="M10" i="6"/>
  <c r="O10" i="6" s="1"/>
  <c r="N10" i="6"/>
  <c r="L12" i="6"/>
  <c r="N7" i="6"/>
  <c r="N8" i="6"/>
  <c r="M8" i="6"/>
  <c r="O8" i="6" s="1"/>
  <c r="N12" i="6" l="1"/>
  <c r="N22" i="6" s="1"/>
  <c r="O21" i="6"/>
  <c r="O7" i="6"/>
  <c r="I16" i="6" s="1"/>
  <c r="M12" i="6"/>
  <c r="N25" i="6" l="1"/>
  <c r="M22" i="6"/>
  <c r="M25" i="6"/>
  <c r="O12" i="6"/>
  <c r="O25" i="6" l="1"/>
  <c r="O22" i="6"/>
  <c r="K16" i="6"/>
  <c r="L16" i="6" s="1"/>
  <c r="N16" i="6" l="1"/>
  <c r="N17" i="6" s="1"/>
  <c r="M16" i="6"/>
  <c r="O16" i="6" l="1"/>
  <c r="O17" i="6" s="1"/>
  <c r="M17" i="6"/>
</calcChain>
</file>

<file path=xl/sharedStrings.xml><?xml version="1.0" encoding="utf-8"?>
<sst xmlns="http://schemas.openxmlformats.org/spreadsheetml/2006/main" count="40" uniqueCount="34">
  <si>
    <t>Остаточная стоимость</t>
  </si>
  <si>
    <t>ОС</t>
  </si>
  <si>
    <t>Порядок учета до 01.01.2022</t>
  </si>
  <si>
    <t>Наименование</t>
  </si>
  <si>
    <t>Истекший фактический СПИ, мес.</t>
  </si>
  <si>
    <t>Пересчитанная накопленная амортизация</t>
  </si>
  <si>
    <t>Амортизация в месяц после 01.01.2022</t>
  </si>
  <si>
    <t>Остаточная стоимость после пересмотра</t>
  </si>
  <si>
    <t>Шкаф навесной</t>
  </si>
  <si>
    <t>Сумма корректировки накопленной амортизации</t>
  </si>
  <si>
    <t>Отдельное рассмотрение объектов</t>
  </si>
  <si>
    <t>СПИ (до 01.01.2022)</t>
  </si>
  <si>
    <t>Отклонение</t>
  </si>
  <si>
    <t>Количество объектов</t>
  </si>
  <si>
    <t>Дата признания объекта</t>
  </si>
  <si>
    <t>Первоначальная стоимость объекта</t>
  </si>
  <si>
    <t>Накопленная амортизация объекта</t>
  </si>
  <si>
    <t>Общая информация об объектах</t>
  </si>
  <si>
    <t>Показатели на 31.12.2021</t>
  </si>
  <si>
    <t>Пересмотренный оставшийся СПИ, мес. (с 01.01.2022)</t>
  </si>
  <si>
    <t>Пересмотренный суммарный СПИ, мес. (с даты принятия к учету)</t>
  </si>
  <si>
    <t>Показатели на 01.01.2022</t>
  </si>
  <si>
    <t>Итого</t>
  </si>
  <si>
    <t>Групповая единица учета</t>
  </si>
  <si>
    <t>Упрощения определения даты ввода групповой единицы:</t>
  </si>
  <si>
    <t>Средневзвешенная дата ввода, рассчитанная на основе новой амортизации</t>
  </si>
  <si>
    <t>Упрощение № 1*</t>
  </si>
  <si>
    <t>Упрощение № 2**</t>
  </si>
  <si>
    <t xml:space="preserve">*Упрощение № 1 - использование в качестве базы распределения не пересчитанной амортизации, а совокупной первоначальной стоимости объединяемых объектов </t>
  </si>
  <si>
    <t xml:space="preserve">** Упрощение № 2 - использование наиболее ранней из дат принятия к учету объединяемых объектов </t>
  </si>
  <si>
    <t>Раковина мраморная</t>
  </si>
  <si>
    <t>Столешница</t>
  </si>
  <si>
    <t>Плита электрическая</t>
  </si>
  <si>
    <t>Шкаф напольный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</si>
</sst>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14" fontId="3" fillId="0" borderId="1" xfId="0" applyNumberFormat="1" applyFont="1" applyBorder="1"/>
    <xf numFmtId="43" fontId="3" fillId="0" borderId="1" xfId="3" applyFont="1" applyBorder="1"/>
    <xf numFmtId="164" fontId="3" fillId="0" borderId="1" xfId="3" applyNumberFormat="1" applyFont="1" applyBorder="1"/>
    <xf numFmtId="0" fontId="4" fillId="0" borderId="1" xfId="0" applyFont="1" applyBorder="1"/>
    <xf numFmtId="40" fontId="4" fillId="0" borderId="1" xfId="0" applyNumberFormat="1" applyFont="1" applyBorder="1"/>
    <xf numFmtId="14" fontId="4" fillId="0" borderId="1" xfId="0" applyNumberFormat="1" applyFont="1" applyBorder="1"/>
    <xf numFmtId="164" fontId="4" fillId="0" borderId="1" xfId="3" applyNumberFormat="1" applyFont="1" applyBorder="1"/>
    <xf numFmtId="43" fontId="4" fillId="0" borderId="1" xfId="3" applyFont="1" applyBorder="1"/>
    <xf numFmtId="0" fontId="5" fillId="0" borderId="1" xfId="0" applyFont="1" applyBorder="1"/>
    <xf numFmtId="0" fontId="3" fillId="0" borderId="0" xfId="0" applyFont="1" applyBorder="1"/>
    <xf numFmtId="14" fontId="10" fillId="0" borderId="0" xfId="0" applyNumberFormat="1" applyFont="1"/>
    <xf numFmtId="0" fontId="4" fillId="0" borderId="1" xfId="0" applyFont="1" applyFill="1" applyBorder="1"/>
    <xf numFmtId="0" fontId="3" fillId="0" borderId="1" xfId="0" applyFont="1" applyFill="1" applyBorder="1"/>
    <xf numFmtId="14" fontId="4" fillId="0" borderId="1" xfId="0" applyNumberFormat="1" applyFont="1" applyFill="1" applyBorder="1"/>
    <xf numFmtId="40" fontId="4" fillId="0" borderId="1" xfId="0" applyNumberFormat="1" applyFont="1" applyFill="1" applyBorder="1"/>
    <xf numFmtId="164" fontId="4" fillId="0" borderId="1" xfId="3" applyNumberFormat="1" applyFont="1" applyFill="1" applyBorder="1"/>
    <xf numFmtId="43" fontId="4" fillId="0" borderId="1" xfId="3" applyFont="1" applyFill="1" applyBorder="1"/>
    <xf numFmtId="10" fontId="8" fillId="0" borderId="1" xfId="1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6" fillId="0" borderId="0" xfId="0" applyFont="1" applyBorder="1"/>
    <xf numFmtId="164" fontId="3" fillId="0" borderId="0" xfId="0" applyNumberFormat="1" applyFont="1" applyBorder="1"/>
    <xf numFmtId="0" fontId="3" fillId="0" borderId="0" xfId="0" applyFont="1" applyFill="1"/>
    <xf numFmtId="0" fontId="6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43" fontId="11" fillId="0" borderId="1" xfId="3" applyFont="1" applyBorder="1"/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FFC1C1"/>
      <color rgb="FFFF9797"/>
      <color rgb="FFF75353"/>
      <color rgb="FFF97777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showGridLines="0" tabSelected="1" zoomScale="70" zoomScaleNormal="70" workbookViewId="0"/>
  </sheetViews>
  <sheetFormatPr defaultColWidth="8.85546875" defaultRowHeight="15.75" x14ac:dyDescent="0.25"/>
  <cols>
    <col min="1" max="1" width="27.42578125" style="1" customWidth="1"/>
    <col min="2" max="2" width="23.140625" style="1" customWidth="1"/>
    <col min="3" max="3" width="21.140625" style="1" customWidth="1"/>
    <col min="4" max="4" width="13.28515625" style="1" customWidth="1"/>
    <col min="5" max="8" width="16.42578125" style="1" customWidth="1"/>
    <col min="9" max="9" width="23.28515625" style="1" customWidth="1"/>
    <col min="10" max="10" width="27.5703125" style="1" customWidth="1"/>
    <col min="11" max="11" width="26.85546875" style="1" customWidth="1"/>
    <col min="12" max="13" width="16.42578125" style="1" customWidth="1"/>
    <col min="14" max="14" width="25.85546875" style="1" customWidth="1"/>
    <col min="15" max="16" width="16.42578125" style="1" customWidth="1"/>
    <col min="17" max="16384" width="8.85546875" style="1"/>
  </cols>
  <sheetData>
    <row r="2" spans="1:15" x14ac:dyDescent="0.25">
      <c r="I2" s="14">
        <v>44561</v>
      </c>
    </row>
    <row r="3" spans="1:15" x14ac:dyDescent="0.25">
      <c r="A3" s="29" t="s">
        <v>17</v>
      </c>
      <c r="B3" s="29"/>
      <c r="C3" s="29"/>
      <c r="D3" s="29"/>
      <c r="E3" s="29"/>
      <c r="F3" s="30"/>
      <c r="G3" s="31" t="s">
        <v>18</v>
      </c>
      <c r="H3" s="29"/>
      <c r="I3" s="30"/>
      <c r="J3" s="31" t="s">
        <v>21</v>
      </c>
      <c r="K3" s="29"/>
      <c r="L3" s="29"/>
      <c r="M3" s="29"/>
      <c r="N3" s="29"/>
      <c r="O3" s="29"/>
    </row>
    <row r="4" spans="1:15" s="2" customFormat="1" ht="63" x14ac:dyDescent="0.25">
      <c r="A4" s="28" t="s">
        <v>2</v>
      </c>
      <c r="B4" s="28" t="s">
        <v>3</v>
      </c>
      <c r="C4" s="28" t="s">
        <v>11</v>
      </c>
      <c r="D4" s="28" t="s">
        <v>13</v>
      </c>
      <c r="E4" s="28" t="s">
        <v>14</v>
      </c>
      <c r="F4" s="28" t="s">
        <v>15</v>
      </c>
      <c r="G4" s="28" t="s">
        <v>16</v>
      </c>
      <c r="H4" s="28" t="s">
        <v>0</v>
      </c>
      <c r="I4" s="28" t="s">
        <v>4</v>
      </c>
      <c r="J4" s="28" t="s">
        <v>19</v>
      </c>
      <c r="K4" s="28" t="s">
        <v>20</v>
      </c>
      <c r="L4" s="28" t="s">
        <v>5</v>
      </c>
      <c r="M4" s="28" t="s">
        <v>7</v>
      </c>
      <c r="N4" s="28" t="s">
        <v>9</v>
      </c>
      <c r="O4" s="28" t="s">
        <v>6</v>
      </c>
    </row>
    <row r="5" spans="1:15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8" t="s">
        <v>10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</row>
    <row r="7" spans="1:15" x14ac:dyDescent="0.25">
      <c r="A7" s="3" t="s">
        <v>1</v>
      </c>
      <c r="B7" s="3" t="s">
        <v>33</v>
      </c>
      <c r="C7" s="3">
        <v>61</v>
      </c>
      <c r="D7" s="3">
        <v>1</v>
      </c>
      <c r="E7" s="4">
        <v>41260</v>
      </c>
      <c r="F7" s="5">
        <v>56000</v>
      </c>
      <c r="G7" s="5">
        <f>IF(F7/C7*I7&lt;=F7,F7/C7*I7,F7)</f>
        <v>56000</v>
      </c>
      <c r="H7" s="5">
        <f>F7-G7</f>
        <v>0</v>
      </c>
      <c r="I7" s="6">
        <f>(YEAR($I$2)-YEAR(E7))*12+MONTH($I$2)-MONTH(E7)</f>
        <v>108</v>
      </c>
      <c r="J7" s="6">
        <v>24</v>
      </c>
      <c r="K7" s="6">
        <f>I7+J7</f>
        <v>132</v>
      </c>
      <c r="L7" s="5">
        <f>F7*I7/K7</f>
        <v>45818.181818181816</v>
      </c>
      <c r="M7" s="5">
        <f>F7-L7</f>
        <v>10181.818181818184</v>
      </c>
      <c r="N7" s="5">
        <f>G7-L7</f>
        <v>10181.818181818184</v>
      </c>
      <c r="O7" s="5">
        <f>M7/J7</f>
        <v>424.24242424242431</v>
      </c>
    </row>
    <row r="8" spans="1:15" x14ac:dyDescent="0.25">
      <c r="A8" s="3" t="s">
        <v>1</v>
      </c>
      <c r="B8" s="3" t="s">
        <v>8</v>
      </c>
      <c r="C8" s="3">
        <v>61</v>
      </c>
      <c r="D8" s="3">
        <v>1</v>
      </c>
      <c r="E8" s="4">
        <v>41260</v>
      </c>
      <c r="F8" s="5">
        <v>58000</v>
      </c>
      <c r="G8" s="5">
        <f t="shared" ref="G8:G11" si="0">IF(F8/C8*I8&lt;=F8,F8/C8*I8,F8)</f>
        <v>58000</v>
      </c>
      <c r="H8" s="5">
        <f t="shared" ref="H8:H11" si="1">F8-G8</f>
        <v>0</v>
      </c>
      <c r="I8" s="6">
        <f>(YEAR($I$2)-YEAR(E8))*12+MONTH($I$2)-MONTH(E8)</f>
        <v>108</v>
      </c>
      <c r="J8" s="6">
        <v>24</v>
      </c>
      <c r="K8" s="6">
        <f t="shared" ref="K8:K11" si="2">I8+J8</f>
        <v>132</v>
      </c>
      <c r="L8" s="5">
        <f t="shared" ref="L8:L11" si="3">F8*I8/K8</f>
        <v>47454.545454545456</v>
      </c>
      <c r="M8" s="5">
        <f t="shared" ref="M8:M11" si="4">F8-L8</f>
        <v>10545.454545454544</v>
      </c>
      <c r="N8" s="5">
        <f t="shared" ref="N8:N11" si="5">G8-L8</f>
        <v>10545.454545454544</v>
      </c>
      <c r="O8" s="5">
        <f t="shared" ref="O8:O11" si="6">M8/J8</f>
        <v>439.39393939393932</v>
      </c>
    </row>
    <row r="9" spans="1:15" x14ac:dyDescent="0.25">
      <c r="A9" s="3" t="s">
        <v>1</v>
      </c>
      <c r="B9" s="3" t="s">
        <v>30</v>
      </c>
      <c r="C9" s="3">
        <v>61</v>
      </c>
      <c r="D9" s="3">
        <v>1</v>
      </c>
      <c r="E9" s="4">
        <v>41802</v>
      </c>
      <c r="F9" s="5">
        <v>53500</v>
      </c>
      <c r="G9" s="5">
        <f t="shared" si="0"/>
        <v>53500</v>
      </c>
      <c r="H9" s="5">
        <f t="shared" si="1"/>
        <v>0</v>
      </c>
      <c r="I9" s="6">
        <f>(YEAR($I$2)-YEAR(E9))*12+MONTH($I$2)-MONTH(E9)</f>
        <v>90</v>
      </c>
      <c r="J9" s="6">
        <v>24</v>
      </c>
      <c r="K9" s="6">
        <f t="shared" si="2"/>
        <v>114</v>
      </c>
      <c r="L9" s="5">
        <f t="shared" si="3"/>
        <v>42236.84210526316</v>
      </c>
      <c r="M9" s="5">
        <f t="shared" si="4"/>
        <v>11263.15789473684</v>
      </c>
      <c r="N9" s="5">
        <f t="shared" si="5"/>
        <v>11263.15789473684</v>
      </c>
      <c r="O9" s="5">
        <f t="shared" si="6"/>
        <v>469.29824561403501</v>
      </c>
    </row>
    <row r="10" spans="1:15" x14ac:dyDescent="0.25">
      <c r="A10" s="3" t="s">
        <v>1</v>
      </c>
      <c r="B10" s="3" t="s">
        <v>31</v>
      </c>
      <c r="C10" s="3">
        <v>61</v>
      </c>
      <c r="D10" s="3">
        <v>1</v>
      </c>
      <c r="E10" s="4">
        <v>42695</v>
      </c>
      <c r="F10" s="5">
        <v>75000</v>
      </c>
      <c r="G10" s="5">
        <f t="shared" si="0"/>
        <v>75000</v>
      </c>
      <c r="H10" s="5">
        <f t="shared" si="1"/>
        <v>0</v>
      </c>
      <c r="I10" s="6">
        <f>(YEAR($I$2)-YEAR(E10))*12+MONTH($I$2)-MONTH(E10)</f>
        <v>61</v>
      </c>
      <c r="J10" s="6">
        <v>24</v>
      </c>
      <c r="K10" s="6">
        <f t="shared" si="2"/>
        <v>85</v>
      </c>
      <c r="L10" s="5">
        <f t="shared" si="3"/>
        <v>53823.529411764706</v>
      </c>
      <c r="M10" s="5">
        <f t="shared" si="4"/>
        <v>21176.470588235294</v>
      </c>
      <c r="N10" s="5">
        <f t="shared" si="5"/>
        <v>21176.470588235294</v>
      </c>
      <c r="O10" s="5">
        <f t="shared" si="6"/>
        <v>882.35294117647061</v>
      </c>
    </row>
    <row r="11" spans="1:15" x14ac:dyDescent="0.25">
      <c r="A11" s="3" t="s">
        <v>1</v>
      </c>
      <c r="B11" s="3" t="s">
        <v>32</v>
      </c>
      <c r="C11" s="3">
        <v>36</v>
      </c>
      <c r="D11" s="3">
        <v>1</v>
      </c>
      <c r="E11" s="4">
        <v>43848</v>
      </c>
      <c r="F11" s="5">
        <v>45000</v>
      </c>
      <c r="G11" s="5">
        <f t="shared" si="0"/>
        <v>28750</v>
      </c>
      <c r="H11" s="5">
        <f t="shared" si="1"/>
        <v>16250</v>
      </c>
      <c r="I11" s="6">
        <f>(YEAR($I$2)-YEAR(E11))*12+MONTH($I$2)-MONTH(E11)</f>
        <v>23</v>
      </c>
      <c r="J11" s="6">
        <v>24</v>
      </c>
      <c r="K11" s="6">
        <f t="shared" si="2"/>
        <v>47</v>
      </c>
      <c r="L11" s="5">
        <f t="shared" si="3"/>
        <v>22021.276595744679</v>
      </c>
      <c r="M11" s="5">
        <f t="shared" si="4"/>
        <v>22978.723404255321</v>
      </c>
      <c r="N11" s="5">
        <f t="shared" si="5"/>
        <v>6728.7234042553209</v>
      </c>
      <c r="O11" s="5">
        <f t="shared" si="6"/>
        <v>957.44680851063833</v>
      </c>
    </row>
    <row r="12" spans="1:15" s="26" customFormat="1" x14ac:dyDescent="0.25">
      <c r="A12" s="15" t="s">
        <v>22</v>
      </c>
      <c r="B12" s="16"/>
      <c r="C12" s="16"/>
      <c r="D12" s="16"/>
      <c r="E12" s="17"/>
      <c r="F12" s="18">
        <f>SUM(F7:F11)</f>
        <v>287500</v>
      </c>
      <c r="G12" s="18">
        <f>SUM(G7:G11)</f>
        <v>271250</v>
      </c>
      <c r="H12" s="18">
        <f>SUM(H7:H11)</f>
        <v>16250</v>
      </c>
      <c r="I12" s="19"/>
      <c r="J12" s="15"/>
      <c r="K12" s="20"/>
      <c r="L12" s="20">
        <f>SUM(L7:L11)</f>
        <v>211354.37538549982</v>
      </c>
      <c r="M12" s="20">
        <f>SUM(M7:M11)</f>
        <v>76145.624614500179</v>
      </c>
      <c r="N12" s="20">
        <f>SUM(N7:N11)</f>
        <v>59895.624614500179</v>
      </c>
      <c r="O12" s="20">
        <f>SUM(O7:O11)</f>
        <v>3172.7343589375073</v>
      </c>
    </row>
    <row r="13" spans="1:15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x14ac:dyDescent="0.25">
      <c r="A14" s="38" t="s">
        <v>23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1:15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</row>
    <row r="16" spans="1:15" x14ac:dyDescent="0.25">
      <c r="A16" s="7" t="s">
        <v>25</v>
      </c>
      <c r="B16" s="3"/>
      <c r="C16" s="3"/>
      <c r="D16" s="3"/>
      <c r="E16" s="9">
        <f>SUMPRODUCT($E$7:$E$11,$O$7:$O$11)/SUM(O7:O11)</f>
        <v>42520.240539480779</v>
      </c>
      <c r="F16" s="8">
        <f>F12</f>
        <v>287500</v>
      </c>
      <c r="G16" s="8">
        <f t="shared" ref="G16:H16" si="7">G12</f>
        <v>271250</v>
      </c>
      <c r="H16" s="8">
        <f t="shared" si="7"/>
        <v>16250</v>
      </c>
      <c r="I16" s="10">
        <f>(YEAR($I$2)-YEAR(E16))*12+MONTH($I$2)-MONTH(E16)</f>
        <v>67</v>
      </c>
      <c r="J16" s="23">
        <f>J7</f>
        <v>24</v>
      </c>
      <c r="K16" s="10">
        <f t="shared" ref="K16" si="8">I16+J16</f>
        <v>91</v>
      </c>
      <c r="L16" s="11">
        <f t="shared" ref="L16" si="9">F16*I16/K16</f>
        <v>211675.82417582418</v>
      </c>
      <c r="M16" s="11">
        <f t="shared" ref="M16" si="10">F16-L16</f>
        <v>75824.175824175822</v>
      </c>
      <c r="N16" s="11">
        <f t="shared" ref="N16" si="11">G16-L16</f>
        <v>59574.175824175822</v>
      </c>
      <c r="O16" s="11">
        <f t="shared" ref="O16" si="12">M16/J16</f>
        <v>3159.3406593406594</v>
      </c>
    </row>
    <row r="17" spans="1:15" x14ac:dyDescent="0.25">
      <c r="A17" s="12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22"/>
      <c r="L17" s="3"/>
      <c r="M17" s="21">
        <f>(M12-M16)/M12</f>
        <v>4.2215004729653843E-3</v>
      </c>
      <c r="N17" s="21">
        <f t="shared" ref="N17:O17" si="13">(N12-N16)/N12</f>
        <v>5.3668158967080434E-3</v>
      </c>
      <c r="O17" s="21">
        <f t="shared" si="13"/>
        <v>4.2215004729652889E-3</v>
      </c>
    </row>
    <row r="18" spans="1:15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</row>
    <row r="19" spans="1:15" x14ac:dyDescent="0.25">
      <c r="A19" s="24" t="s">
        <v>24</v>
      </c>
      <c r="B19" s="13"/>
      <c r="C19" s="13"/>
      <c r="D19" s="13"/>
      <c r="E19" s="13"/>
      <c r="F19" s="13"/>
      <c r="G19" s="13"/>
      <c r="H19" s="13"/>
      <c r="I19" s="13"/>
      <c r="J19" s="13"/>
      <c r="K19" s="25"/>
      <c r="L19" s="13"/>
      <c r="M19" s="13"/>
      <c r="N19" s="13"/>
      <c r="O19" s="13"/>
    </row>
    <row r="20" spans="1:15" x14ac:dyDescent="0.25">
      <c r="A20" s="24"/>
      <c r="B20" s="13"/>
      <c r="C20" s="13"/>
      <c r="D20" s="13"/>
      <c r="E20" s="13"/>
      <c r="F20" s="13"/>
      <c r="G20" s="13"/>
      <c r="H20" s="13"/>
      <c r="I20" s="13"/>
      <c r="J20" s="13"/>
      <c r="K20" s="25"/>
      <c r="L20" s="13"/>
      <c r="M20" s="13"/>
      <c r="N20" s="13"/>
      <c r="O20" s="13"/>
    </row>
    <row r="21" spans="1:15" x14ac:dyDescent="0.25">
      <c r="A21" s="7" t="s">
        <v>26</v>
      </c>
      <c r="B21" s="3"/>
      <c r="C21" s="3"/>
      <c r="D21" s="3"/>
      <c r="E21" s="9">
        <f>SUMPRODUCT(E7:E11,F7:F11)/F12</f>
        <v>42140.285217391305</v>
      </c>
      <c r="F21" s="8">
        <f>F12</f>
        <v>287500</v>
      </c>
      <c r="G21" s="8">
        <f>G12</f>
        <v>271250</v>
      </c>
      <c r="H21" s="8">
        <f>H12</f>
        <v>16250</v>
      </c>
      <c r="I21" s="10">
        <f>(YEAR($I$2)-YEAR(E21))*12+MONTH($I$2)-MONTH(E21)</f>
        <v>79</v>
      </c>
      <c r="J21" s="23">
        <f>J7</f>
        <v>24</v>
      </c>
      <c r="K21" s="10">
        <f t="shared" ref="K21" si="14">I21+J21</f>
        <v>103</v>
      </c>
      <c r="L21" s="11">
        <f>F21*I21/K21</f>
        <v>220509.70873786407</v>
      </c>
      <c r="M21" s="11">
        <f t="shared" ref="M21" si="15">F21-L21</f>
        <v>66990.291262135928</v>
      </c>
      <c r="N21" s="41">
        <f>G21-L21</f>
        <v>50740.291262135928</v>
      </c>
      <c r="O21" s="11">
        <f t="shared" ref="O21" si="16">M21/J21</f>
        <v>2791.2621359223303</v>
      </c>
    </row>
    <row r="22" spans="1:15" x14ac:dyDescent="0.25">
      <c r="A22" s="12" t="s">
        <v>12</v>
      </c>
      <c r="B22" s="3"/>
      <c r="C22" s="3"/>
      <c r="D22" s="3"/>
      <c r="E22" s="3"/>
      <c r="F22" s="3"/>
      <c r="G22" s="3"/>
      <c r="H22" s="3"/>
      <c r="I22" s="3"/>
      <c r="J22" s="3"/>
      <c r="K22" s="22"/>
      <c r="L22" s="3"/>
      <c r="M22" s="21">
        <f>($M$12-M21)/$M$12</f>
        <v>0.12023452954407611</v>
      </c>
      <c r="N22" s="21">
        <f>($N$12-N21)/$N$12</f>
        <v>0.15285479383994652</v>
      </c>
      <c r="O22" s="21">
        <f>($O$12-O21)/$O$12</f>
        <v>0.12023452954407607</v>
      </c>
    </row>
    <row r="23" spans="1:15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</row>
    <row r="24" spans="1:15" x14ac:dyDescent="0.25">
      <c r="A24" s="7" t="s">
        <v>27</v>
      </c>
      <c r="B24" s="3"/>
      <c r="C24" s="3"/>
      <c r="D24" s="3"/>
      <c r="E24" s="9">
        <f>MIN(E7:E11)</f>
        <v>41260</v>
      </c>
      <c r="F24" s="8">
        <f>F12</f>
        <v>287500</v>
      </c>
      <c r="G24" s="8">
        <f>G12</f>
        <v>271250</v>
      </c>
      <c r="H24" s="8">
        <f>H12</f>
        <v>16250</v>
      </c>
      <c r="I24" s="10">
        <f>(YEAR($I$2)-YEAR(E24))*12+MONTH($I$2)-MONTH(E24)</f>
        <v>108</v>
      </c>
      <c r="J24" s="23">
        <f>J7</f>
        <v>24</v>
      </c>
      <c r="K24" s="10">
        <f t="shared" ref="K24" si="17">I24+J24</f>
        <v>132</v>
      </c>
      <c r="L24" s="11">
        <f t="shared" ref="L24" si="18">F24*I24/K24</f>
        <v>235227.27272727274</v>
      </c>
      <c r="M24" s="11">
        <f t="shared" ref="M24" si="19">F24-L24</f>
        <v>52272.727272727265</v>
      </c>
      <c r="N24" s="41">
        <f t="shared" ref="N24" si="20">G24-L24</f>
        <v>36022.727272727265</v>
      </c>
      <c r="O24" s="11">
        <f t="shared" ref="O24" si="21">M24/J24</f>
        <v>2178.0303030303025</v>
      </c>
    </row>
    <row r="25" spans="1:15" x14ac:dyDescent="0.25">
      <c r="A25" s="12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21">
        <f>($M$12-M24)/$M$12</f>
        <v>0.3135163374472717</v>
      </c>
      <c r="N25" s="21">
        <f>($N$12-N24)/$N$12</f>
        <v>0.39857497931482472</v>
      </c>
      <c r="O25" s="21">
        <f>($O$12-O24)/$O$12</f>
        <v>0.3135163374472717</v>
      </c>
    </row>
    <row r="28" spans="1:15" x14ac:dyDescent="0.25">
      <c r="A28" s="27" t="s">
        <v>28</v>
      </c>
    </row>
    <row r="30" spans="1:15" x14ac:dyDescent="0.25">
      <c r="A30" s="27" t="s">
        <v>29</v>
      </c>
    </row>
  </sheetData>
  <mergeCells count="10">
    <mergeCell ref="A15:O15"/>
    <mergeCell ref="A18:O18"/>
    <mergeCell ref="A23:O23"/>
    <mergeCell ref="A6:O6"/>
    <mergeCell ref="A14:O14"/>
    <mergeCell ref="A3:F3"/>
    <mergeCell ref="G3:I3"/>
    <mergeCell ref="J3:O3"/>
    <mergeCell ref="A5:O5"/>
    <mergeCell ref="A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2022-06-22T07:54:21Z</dcterms:modified>
</cp:coreProperties>
</file>